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untt\Desktop\"/>
    </mc:Choice>
  </mc:AlternateContent>
  <bookViews>
    <workbookView xWindow="0" yWindow="0" windowWidth="23010" windowHeight="8460"/>
  </bookViews>
  <sheets>
    <sheet name="template with notes" sheetId="73" r:id="rId1"/>
    <sheet name="Template" sheetId="72" r:id="rId2"/>
    <sheet name="Sheet5" sheetId="6" state="hidden" r:id="rId3"/>
  </sheets>
  <externalReferences>
    <externalReference r:id="rId4"/>
  </externalReferences>
  <definedNames>
    <definedName name="Breakeven_point">[1]Sheet1!$G$33</definedName>
    <definedName name="Fixed_costs">[1]Sheet1!$F$23:$F$27</definedName>
    <definedName name="Sales_price_unit">[1]Sheet1!$F$6</definedName>
    <definedName name="Sales_volume_units">[1]Sheet1!$F$7</definedName>
    <definedName name="Total_fixed">[1]Sheet1!$G$28</definedName>
    <definedName name="Total_Sales">[1]Sheet1!$G$8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73" l="1"/>
  <c r="B46" i="73" l="1"/>
  <c r="C46" i="73" s="1"/>
  <c r="E46" i="73" s="1"/>
  <c r="C45" i="73"/>
  <c r="D45" i="73" s="1"/>
  <c r="B45" i="73"/>
  <c r="B47" i="73" s="1"/>
  <c r="C35" i="73"/>
  <c r="E30" i="73"/>
  <c r="E22" i="73"/>
  <c r="E17" i="73"/>
  <c r="E24" i="73" s="1"/>
  <c r="E11" i="73"/>
  <c r="D9" i="73" s="1"/>
  <c r="D14" i="73" l="1"/>
  <c r="D15" i="73"/>
  <c r="D8" i="73"/>
  <c r="D47" i="73"/>
  <c r="E45" i="73"/>
  <c r="E47" i="73" s="1"/>
  <c r="E29" i="73"/>
  <c r="E25" i="73"/>
  <c r="E19" i="73"/>
  <c r="E23" i="73"/>
  <c r="C47" i="73"/>
  <c r="B46" i="72"/>
  <c r="C46" i="72" s="1"/>
  <c r="D46" i="72" s="1"/>
  <c r="E46" i="72" s="1"/>
  <c r="B45" i="72"/>
  <c r="C45" i="72" s="1"/>
  <c r="C35" i="72"/>
  <c r="E30" i="72"/>
  <c r="E22" i="72"/>
  <c r="E17" i="72"/>
  <c r="E24" i="72" s="1"/>
  <c r="E11" i="72"/>
  <c r="E23" i="72" s="1"/>
  <c r="B36" i="73" l="1"/>
  <c r="C36" i="73"/>
  <c r="E31" i="73"/>
  <c r="E26" i="73"/>
  <c r="D14" i="72"/>
  <c r="E31" i="72"/>
  <c r="E32" i="72" s="1"/>
  <c r="E26" i="72"/>
  <c r="C37" i="72" s="1"/>
  <c r="D15" i="72"/>
  <c r="D9" i="72"/>
  <c r="D45" i="72"/>
  <c r="C47" i="72"/>
  <c r="E25" i="72"/>
  <c r="E29" i="72"/>
  <c r="C36" i="72"/>
  <c r="B36" i="72"/>
  <c r="B47" i="72"/>
  <c r="D8" i="72"/>
  <c r="E19" i="72"/>
  <c r="B38" i="73" l="1"/>
  <c r="B37" i="73"/>
  <c r="C37" i="73"/>
  <c r="C38" i="73"/>
  <c r="D35" i="73"/>
  <c r="D36" i="73" s="1"/>
  <c r="E32" i="73"/>
  <c r="H1" i="73" s="1"/>
  <c r="E35" i="73"/>
  <c r="E37" i="73"/>
  <c r="D38" i="73"/>
  <c r="B38" i="72"/>
  <c r="B37" i="72"/>
  <c r="C38" i="72"/>
  <c r="E35" i="72"/>
  <c r="D35" i="72"/>
  <c r="H1" i="72"/>
  <c r="E45" i="72"/>
  <c r="E47" i="72" s="1"/>
  <c r="D47" i="72"/>
  <c r="E38" i="73" l="1"/>
  <c r="E36" i="73"/>
  <c r="D37" i="73"/>
  <c r="D37" i="72"/>
  <c r="D36" i="72"/>
  <c r="D38" i="72"/>
  <c r="E36" i="72"/>
  <c r="E37" i="72"/>
  <c r="E38" i="72"/>
</calcChain>
</file>

<file path=xl/sharedStrings.xml><?xml version="1.0" encoding="utf-8"?>
<sst xmlns="http://schemas.openxmlformats.org/spreadsheetml/2006/main" count="125" uniqueCount="75">
  <si>
    <t xml:space="preserve"> </t>
  </si>
  <si>
    <t>Current Enrollment</t>
  </si>
  <si>
    <t>Total Revenue</t>
  </si>
  <si>
    <t>Expenses</t>
  </si>
  <si>
    <t>Suplus/(Deficit)</t>
  </si>
  <si>
    <t xml:space="preserve">    Other Revenue</t>
  </si>
  <si>
    <t xml:space="preserve">    Salary and Benefits</t>
  </si>
  <si>
    <t xml:space="preserve">    Other Expenses</t>
  </si>
  <si>
    <t>Total Expenses</t>
  </si>
  <si>
    <t>Tuition Revenue</t>
  </si>
  <si>
    <t>2017-18</t>
  </si>
  <si>
    <t>2018-19</t>
  </si>
  <si>
    <t>2019-20</t>
  </si>
  <si>
    <t>75%-85%</t>
  </si>
  <si>
    <t>15% -25%</t>
  </si>
  <si>
    <t>15%-25%</t>
  </si>
  <si>
    <t>Cost of Education (COE = Total Expenses/Current Enrollment)</t>
  </si>
  <si>
    <t xml:space="preserve"> Enrollment and Tuition</t>
  </si>
  <si>
    <t>2016-17</t>
  </si>
  <si>
    <t>Average Revenue Per Student</t>
  </si>
  <si>
    <t>50% of Additional Revenue Goal</t>
  </si>
  <si>
    <t>100% of Additional Revenue Goal</t>
  </si>
  <si>
    <t>50% of Additional Enrollment Goal</t>
  </si>
  <si>
    <t>100% of Additional Enrollment Goal</t>
  </si>
  <si>
    <t>Payroll Costs</t>
  </si>
  <si>
    <t>2020-21</t>
  </si>
  <si>
    <t>Short Term Budget Planning</t>
  </si>
  <si>
    <t>Long Range Budget Planning</t>
  </si>
  <si>
    <t>% of Total Revenue</t>
  </si>
  <si>
    <t>Target % of Revenue</t>
  </si>
  <si>
    <t>Target % of Expenses</t>
  </si>
  <si>
    <t>% of Total Expenses</t>
  </si>
  <si>
    <t>Estimated average % increase in tuition revenue between 2017-18 and 2020-21 (annual):</t>
  </si>
  <si>
    <t>Estimated average % increase in payroll costs between 2017-18 and 2020-21 (annual):</t>
  </si>
  <si>
    <t>Revenue</t>
  </si>
  <si>
    <t>Reported Enrollment</t>
  </si>
  <si>
    <t>Stated Tuition (One Child)</t>
  </si>
  <si>
    <t>Year-End Analysis</t>
  </si>
  <si>
    <t>Difference between COE and Stated Tuition</t>
  </si>
  <si>
    <t>Additional Revenue (per student) to Break Even</t>
  </si>
  <si>
    <t>Balanced Budget Enrollment (assuming same average revenue per student)</t>
  </si>
  <si>
    <t>Additional Enrollment Needed (assuming same average revenue per student)</t>
  </si>
  <si>
    <t xml:space="preserve">Collected Tuition </t>
  </si>
  <si>
    <t>Total Revenue (Tuition, Fees, Fundraising)</t>
  </si>
  <si>
    <t>Sample School</t>
  </si>
  <si>
    <t>Salary/Benefits covered by Collected Tuition</t>
  </si>
  <si>
    <t xml:space="preserve">COE covered by Collected Tuition </t>
  </si>
  <si>
    <t xml:space="preserve">    Collected Tuition</t>
  </si>
  <si>
    <t xml:space="preserve">Salary/Benefits covered by Tuition </t>
  </si>
  <si>
    <t>Student Averages</t>
  </si>
  <si>
    <t>Analysis</t>
  </si>
  <si>
    <t>Your School Name here</t>
  </si>
  <si>
    <t>goal is 1:1 cover salary &amp; bens with collected tuition</t>
  </si>
  <si>
    <r>
      <t xml:space="preserve">very small $ amount </t>
    </r>
    <r>
      <rPr>
        <b/>
        <u/>
        <sz val="11"/>
        <color theme="1"/>
        <rFont val="Calibri"/>
        <family val="2"/>
        <scheme val="minor"/>
      </rPr>
      <t>per student</t>
    </r>
    <r>
      <rPr>
        <sz val="11"/>
        <color theme="1"/>
        <rFont val="Calibri"/>
        <family val="2"/>
        <scheme val="minor"/>
      </rPr>
      <t xml:space="preserve"> to cover ttl exps</t>
    </r>
  </si>
  <si>
    <t>this school needs 1 more student to 'break even'</t>
  </si>
  <si>
    <t>use in long range budget planning</t>
  </si>
  <si>
    <t>Table shows how impact of 5% increase in tuition revenue and 3% increase in payroll costs affects salary/benefits covered by tuition; getting closer to 1:1 standard</t>
  </si>
  <si>
    <r>
      <t xml:space="preserve">Table shows examples of how increasing # of students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increasing per student revenue helps the school break even / become profitable</t>
    </r>
  </si>
  <si>
    <t>Surplus/(Deficit)</t>
  </si>
  <si>
    <t xml:space="preserve">Helpful Hints: use past year actuals as starting point for future budget development. </t>
  </si>
  <si>
    <t>School's stated tuition for one child</t>
  </si>
  <si>
    <t>Actual tuition dollars collected from families</t>
  </si>
  <si>
    <t xml:space="preserve">Other revenue include fundraising, grants, fees, and subsidy. </t>
  </si>
  <si>
    <t>Actual year expenses for faculty and staff.</t>
  </si>
  <si>
    <t xml:space="preserve">Other expenses include supplies, program expenses, operations and maintenance, contracted services, utilities, and assessments. </t>
  </si>
  <si>
    <t>Total operating surplus or deficit</t>
  </si>
  <si>
    <t xml:space="preserve">This number represents the difference between tuition and actual cost </t>
  </si>
  <si>
    <t>bracket per student</t>
  </si>
  <si>
    <t>Year</t>
  </si>
  <si>
    <t>Annual average % increase in tuition revenue over next 4 years (estimate):</t>
  </si>
  <si>
    <t>Annual average % increase in payroll costs over next 4 years (estimate):</t>
  </si>
  <si>
    <t>Next Year</t>
  </si>
  <si>
    <t>2 Years Out</t>
  </si>
  <si>
    <t>3 Years Out</t>
  </si>
  <si>
    <t>4 Years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</si>
</sst>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indexed="2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5" applyNumberFormat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Continuous" vertical="center" wrapText="1"/>
    </xf>
    <xf numFmtId="44" fontId="0" fillId="0" borderId="0" xfId="1" applyFont="1" applyAlignment="1">
      <alignment vertical="center"/>
    </xf>
    <xf numFmtId="0" fontId="6" fillId="5" borderId="0" xfId="0" applyFont="1" applyFill="1" applyAlignment="1" applyProtection="1">
      <alignment horizontal="centerContinuous" vertical="center" wrapText="1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37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5" fontId="12" fillId="0" borderId="0" xfId="3" applyNumberFormat="1" applyFont="1" applyFill="1" applyAlignment="1" applyProtection="1">
      <alignment horizontal="center" vertical="center"/>
    </xf>
    <xf numFmtId="9" fontId="10" fillId="0" borderId="0" xfId="3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8" fillId="2" borderId="5" xfId="2" applyNumberFormat="1" applyFont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164" fontId="8" fillId="2" borderId="4" xfId="2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39" fontId="6" fillId="5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44" fontId="8" fillId="2" borderId="5" xfId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44" fontId="8" fillId="2" borderId="5" xfId="1" applyFont="1" applyFill="1" applyBorder="1" applyAlignment="1" applyProtection="1">
      <alignment horizontal="right" vertical="center"/>
    </xf>
    <xf numFmtId="9" fontId="8" fillId="2" borderId="5" xfId="2" applyNumberFormat="1" applyFont="1" applyAlignment="1" applyProtection="1">
      <alignment horizontal="right" vertical="center"/>
    </xf>
    <xf numFmtId="44" fontId="8" fillId="2" borderId="5" xfId="2" applyNumberFormat="1" applyFont="1" applyAlignment="1" applyProtection="1">
      <alignment horizontal="right" vertical="center"/>
    </xf>
    <xf numFmtId="9" fontId="8" fillId="2" borderId="5" xfId="3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37" fontId="3" fillId="0" borderId="6" xfId="0" applyNumberFormat="1" applyFont="1" applyBorder="1" applyAlignment="1" applyProtection="1">
      <alignment vertical="center"/>
    </xf>
    <xf numFmtId="44" fontId="0" fillId="0" borderId="0" xfId="0" applyNumberFormat="1" applyAlignment="1">
      <alignment vertical="center"/>
    </xf>
    <xf numFmtId="1" fontId="14" fillId="5" borderId="11" xfId="0" applyNumberFormat="1" applyFont="1" applyFill="1" applyBorder="1" applyAlignment="1" applyProtection="1">
      <alignment horizontal="center" vertical="center"/>
    </xf>
    <xf numFmtId="1" fontId="14" fillId="5" borderId="12" xfId="0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right" vertical="center" wrapText="1" indent="1"/>
    </xf>
    <xf numFmtId="0" fontId="9" fillId="0" borderId="9" xfId="0" applyFont="1" applyBorder="1" applyAlignment="1" applyProtection="1">
      <alignment horizontal="right" vertical="center" wrapText="1" indent="1"/>
    </xf>
    <xf numFmtId="0" fontId="6" fillId="0" borderId="0" xfId="0" applyFont="1" applyAlignment="1" applyProtection="1">
      <alignment horizontal="left" vertical="center"/>
      <protection locked="0"/>
    </xf>
    <xf numFmtId="37" fontId="6" fillId="2" borderId="5" xfId="2" applyNumberFormat="1" applyFont="1" applyAlignment="1" applyProtection="1">
      <alignment horizontal="right" vertical="center"/>
    </xf>
    <xf numFmtId="37" fontId="8" fillId="3" borderId="14" xfId="2" applyNumberFormat="1" applyFont="1" applyFill="1" applyBorder="1" applyAlignment="1" applyProtection="1">
      <alignment horizontal="center" vertical="center"/>
      <protection locked="0"/>
    </xf>
    <xf numFmtId="44" fontId="8" fillId="3" borderId="15" xfId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0" fontId="6" fillId="3" borderId="4" xfId="3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center" wrapText="1"/>
    </xf>
    <xf numFmtId="44" fontId="3" fillId="0" borderId="4" xfId="1" applyNumberFormat="1" applyFont="1" applyBorder="1" applyAlignment="1" applyProtection="1">
      <alignment horizontal="center" vertical="center"/>
    </xf>
    <xf numFmtId="44" fontId="14" fillId="5" borderId="0" xfId="1" applyFont="1" applyFill="1" applyBorder="1" applyAlignment="1" applyProtection="1">
      <alignment vertical="center"/>
    </xf>
    <xf numFmtId="44" fontId="14" fillId="5" borderId="6" xfId="1" applyFont="1" applyFill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8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44" fontId="3" fillId="0" borderId="4" xfId="1" applyFont="1" applyBorder="1" applyAlignment="1" applyProtection="1">
      <alignment vertical="center"/>
    </xf>
    <xf numFmtId="10" fontId="3" fillId="0" borderId="4" xfId="3" applyNumberFormat="1" applyFont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right" vertical="center" wrapText="1" indent="1"/>
    </xf>
    <xf numFmtId="0" fontId="14" fillId="5" borderId="9" xfId="0" applyFont="1" applyFill="1" applyBorder="1" applyAlignment="1" applyProtection="1">
      <alignment horizontal="right" vertical="center" wrapText="1" indent="1"/>
    </xf>
    <xf numFmtId="0" fontId="14" fillId="5" borderId="0" xfId="0" applyFont="1" applyFill="1" applyBorder="1" applyAlignment="1" applyProtection="1">
      <alignment horizontal="center"/>
    </xf>
    <xf numFmtId="0" fontId="14" fillId="5" borderId="12" xfId="0" applyFont="1" applyFill="1" applyBorder="1" applyAlignment="1" applyProtection="1">
      <alignment horizontal="center"/>
    </xf>
    <xf numFmtId="0" fontId="13" fillId="5" borderId="0" xfId="0" applyFont="1" applyFill="1" applyAlignment="1" applyProtection="1">
      <alignment horizontal="left" vertical="center"/>
      <protection locked="0"/>
    </xf>
    <xf numFmtId="0" fontId="13" fillId="5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vertical="center"/>
      <protection locked="0"/>
    </xf>
    <xf numFmtId="10" fontId="6" fillId="6" borderId="12" xfId="3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left" vertical="top"/>
    </xf>
    <xf numFmtId="0" fontId="17" fillId="0" borderId="10" xfId="0" applyFont="1" applyBorder="1" applyAlignment="1" applyProtection="1">
      <alignment vertical="top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0" fontId="3" fillId="0" borderId="4" xfId="3" applyNumberFormat="1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4" fontId="4" fillId="0" borderId="0" xfId="0" applyNumberFormat="1" applyFont="1" applyAlignment="1" applyProtection="1">
      <alignment vertical="center"/>
    </xf>
    <xf numFmtId="0" fontId="0" fillId="0" borderId="0" xfId="0" quotePrefix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">
    <cellStyle name="Currency" xfId="1" builtinId="4"/>
    <cellStyle name="Normal" xfId="0" builtinId="0"/>
    <cellStyle name="Output" xfId="2" builtinId="21"/>
    <cellStyle name="Percent" xfId="3" builtinId="5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2%20Draft%20Budget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Budget Analysis"/>
      <sheetName val="Sheet1"/>
      <sheetName val="Variables"/>
    </sheetNames>
    <sheetDataSet>
      <sheetData sheetId="0" refreshError="1"/>
      <sheetData sheetId="1">
        <row r="6">
          <cell r="F6">
            <v>6500</v>
          </cell>
        </row>
        <row r="7">
          <cell r="F7">
            <v>222</v>
          </cell>
        </row>
        <row r="8">
          <cell r="G8">
            <v>1843893</v>
          </cell>
        </row>
        <row r="23">
          <cell r="F23">
            <v>1787625</v>
          </cell>
        </row>
        <row r="24">
          <cell r="F24">
            <v>322900</v>
          </cell>
        </row>
        <row r="25">
          <cell r="F25">
            <v>50000</v>
          </cell>
        </row>
        <row r="27">
          <cell r="F27">
            <v>170000</v>
          </cell>
        </row>
        <row r="28">
          <cell r="G28">
            <v>2330525</v>
          </cell>
        </row>
        <row r="33">
          <cell r="G33">
            <v>275.61041605868627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="118" zoomScaleNormal="118" workbookViewId="0">
      <selection activeCell="B45" sqref="B45"/>
    </sheetView>
  </sheetViews>
  <sheetFormatPr defaultColWidth="9.140625" defaultRowHeight="15" x14ac:dyDescent="0.25"/>
  <cols>
    <col min="1" max="1" width="31" style="4" customWidth="1"/>
    <col min="2" max="2" width="13.5703125" style="4" bestFit="1" customWidth="1"/>
    <col min="3" max="3" width="13.5703125" style="4" customWidth="1"/>
    <col min="4" max="4" width="15.28515625" style="4" customWidth="1"/>
    <col min="5" max="5" width="16.5703125" style="13" customWidth="1"/>
    <col min="6" max="6" width="3.5703125" style="5" customWidth="1"/>
    <col min="7" max="7" width="41.140625" style="5" customWidth="1"/>
    <col min="8" max="16384" width="9.140625" style="5"/>
  </cols>
  <sheetData>
    <row r="1" spans="1:8" ht="18.75" x14ac:dyDescent="0.25">
      <c r="A1" s="1" t="s">
        <v>37</v>
      </c>
      <c r="C1" s="79" t="s">
        <v>51</v>
      </c>
      <c r="D1" s="80"/>
      <c r="E1" s="81"/>
      <c r="G1" s="88" t="s">
        <v>59</v>
      </c>
      <c r="H1" s="6">
        <f>IF(E32&lt;=0,"",E32)</f>
        <v>0.6790809152798829</v>
      </c>
    </row>
    <row r="2" spans="1:8" ht="6" customHeight="1" x14ac:dyDescent="0.25">
      <c r="A2" s="7" t="s">
        <v>0</v>
      </c>
      <c r="B2" s="7"/>
      <c r="C2" s="8"/>
      <c r="D2" s="8"/>
      <c r="E2" s="8"/>
      <c r="G2" s="88"/>
      <c r="H2" s="9"/>
    </row>
    <row r="3" spans="1:8" x14ac:dyDescent="0.25">
      <c r="A3" s="63" t="s">
        <v>17</v>
      </c>
      <c r="B3" s="63"/>
      <c r="C3" s="63"/>
      <c r="D3" s="64" t="s">
        <v>68</v>
      </c>
      <c r="E3" s="10"/>
      <c r="G3" s="88"/>
    </row>
    <row r="4" spans="1:8" x14ac:dyDescent="0.25">
      <c r="A4" s="11" t="s">
        <v>35</v>
      </c>
      <c r="B4" s="12"/>
      <c r="D4" s="42">
        <v>326</v>
      </c>
      <c r="E4" s="14"/>
      <c r="G4" s="5" t="s">
        <v>35</v>
      </c>
    </row>
    <row r="5" spans="1:8" x14ac:dyDescent="0.25">
      <c r="A5" s="11" t="s">
        <v>36</v>
      </c>
      <c r="B5" s="12"/>
      <c r="D5" s="43">
        <v>6600</v>
      </c>
      <c r="E5" s="14"/>
      <c r="G5" s="5" t="s">
        <v>60</v>
      </c>
    </row>
    <row r="6" spans="1:8" ht="6" customHeight="1" x14ac:dyDescent="0.25">
      <c r="A6" s="11"/>
      <c r="B6" s="12"/>
      <c r="C6" s="11"/>
      <c r="D6" s="11"/>
      <c r="E6" s="12"/>
    </row>
    <row r="7" spans="1:8" x14ac:dyDescent="0.25">
      <c r="A7" s="63" t="s">
        <v>34</v>
      </c>
      <c r="B7" s="63"/>
      <c r="C7" s="64" t="s">
        <v>68</v>
      </c>
      <c r="D7" s="2" t="s">
        <v>28</v>
      </c>
      <c r="E7" s="3" t="s">
        <v>29</v>
      </c>
    </row>
    <row r="8" spans="1:8" x14ac:dyDescent="0.25">
      <c r="A8" s="12" t="s">
        <v>47</v>
      </c>
      <c r="B8" s="74"/>
      <c r="C8" s="44">
        <v>1738216</v>
      </c>
      <c r="D8" s="16">
        <f>C8/E11</f>
        <v>0.65543737043994266</v>
      </c>
      <c r="E8" s="17" t="s">
        <v>13</v>
      </c>
      <c r="G8" s="5" t="s">
        <v>61</v>
      </c>
    </row>
    <row r="9" spans="1:8" x14ac:dyDescent="0.25">
      <c r="A9" s="12" t="s">
        <v>5</v>
      </c>
      <c r="B9" s="15"/>
      <c r="C9" s="44">
        <v>913778.04000000027</v>
      </c>
      <c r="D9" s="16">
        <f>C9/E11</f>
        <v>0.34456262956005745</v>
      </c>
      <c r="E9" s="17" t="s">
        <v>14</v>
      </c>
      <c r="G9" s="87" t="s">
        <v>62</v>
      </c>
    </row>
    <row r="10" spans="1:8" x14ac:dyDescent="0.25">
      <c r="A10" s="12"/>
      <c r="B10" s="15"/>
      <c r="C10" s="18"/>
      <c r="D10" s="16"/>
      <c r="E10" s="17"/>
      <c r="G10" s="88"/>
    </row>
    <row r="11" spans="1:8" x14ac:dyDescent="0.25">
      <c r="A11" s="12" t="s">
        <v>2</v>
      </c>
      <c r="B11" s="15"/>
      <c r="E11" s="19">
        <f>SUM(C8+C9)</f>
        <v>2651994.04</v>
      </c>
    </row>
    <row r="12" spans="1:8" ht="6" customHeight="1" x14ac:dyDescent="0.25">
      <c r="A12" s="12"/>
      <c r="B12" s="15"/>
      <c r="D12" s="12"/>
      <c r="E12" s="15"/>
    </row>
    <row r="13" spans="1:8" x14ac:dyDescent="0.25">
      <c r="A13" s="65" t="s">
        <v>3</v>
      </c>
      <c r="B13" s="65"/>
      <c r="C13" s="64" t="s">
        <v>68</v>
      </c>
      <c r="D13" s="2" t="s">
        <v>31</v>
      </c>
      <c r="E13" s="3" t="s">
        <v>30</v>
      </c>
    </row>
    <row r="14" spans="1:8" x14ac:dyDescent="0.25">
      <c r="A14" s="12" t="s">
        <v>6</v>
      </c>
      <c r="B14" s="20"/>
      <c r="C14" s="45">
        <v>1950294.9300000002</v>
      </c>
      <c r="D14" s="16">
        <f>C14/E17</f>
        <v>0.7338782607757216</v>
      </c>
      <c r="E14" s="17" t="s">
        <v>13</v>
      </c>
      <c r="G14" s="5" t="s">
        <v>63</v>
      </c>
    </row>
    <row r="15" spans="1:8" x14ac:dyDescent="0.25">
      <c r="A15" s="12" t="s">
        <v>7</v>
      </c>
      <c r="B15" s="20"/>
      <c r="C15" s="46">
        <v>707223.39999999991</v>
      </c>
      <c r="D15" s="16">
        <f>C15/E17</f>
        <v>0.2661217392242784</v>
      </c>
      <c r="E15" s="17" t="s">
        <v>15</v>
      </c>
      <c r="G15" s="89" t="s">
        <v>64</v>
      </c>
    </row>
    <row r="16" spans="1:8" ht="30" customHeight="1" x14ac:dyDescent="0.25">
      <c r="A16" s="12"/>
      <c r="B16" s="20"/>
      <c r="C16" s="18"/>
      <c r="D16" s="16"/>
      <c r="E16" s="17"/>
      <c r="G16" s="89"/>
    </row>
    <row r="17" spans="1:7" x14ac:dyDescent="0.25">
      <c r="A17" s="11" t="s">
        <v>8</v>
      </c>
      <c r="E17" s="21">
        <f>SUM(C14:C15)</f>
        <v>2657518.33</v>
      </c>
    </row>
    <row r="18" spans="1:7" x14ac:dyDescent="0.25">
      <c r="A18" s="22"/>
      <c r="B18" s="7"/>
      <c r="C18" s="15"/>
      <c r="E18" s="23"/>
    </row>
    <row r="19" spans="1:7" x14ac:dyDescent="0.25">
      <c r="A19" s="11" t="s">
        <v>58</v>
      </c>
      <c r="C19" s="15"/>
      <c r="E19" s="21">
        <f xml:space="preserve"> E11-E17</f>
        <v>-5524.2900000000373</v>
      </c>
      <c r="G19" s="5" t="s">
        <v>65</v>
      </c>
    </row>
    <row r="20" spans="1:7" ht="6" customHeight="1" x14ac:dyDescent="0.25">
      <c r="A20" s="11"/>
      <c r="D20" s="15"/>
      <c r="E20" s="4"/>
    </row>
    <row r="21" spans="1:7" x14ac:dyDescent="0.25">
      <c r="A21" s="65" t="s">
        <v>49</v>
      </c>
      <c r="B21" s="65"/>
      <c r="C21" s="24"/>
      <c r="D21" s="24"/>
      <c r="E21" s="25"/>
      <c r="G21" s="5" t="s">
        <v>67</v>
      </c>
    </row>
    <row r="22" spans="1:7" x14ac:dyDescent="0.25">
      <c r="A22" s="11" t="s">
        <v>42</v>
      </c>
      <c r="B22" s="12"/>
      <c r="C22" s="26"/>
      <c r="E22" s="27">
        <f>C8/D4</f>
        <v>5331.9509202453992</v>
      </c>
      <c r="G22" s="75"/>
    </row>
    <row r="23" spans="1:7" x14ac:dyDescent="0.25">
      <c r="A23" s="28" t="s">
        <v>43</v>
      </c>
      <c r="B23" s="12"/>
      <c r="C23" s="23"/>
      <c r="E23" s="27">
        <f>E11/D4</f>
        <v>8134.9510429447855</v>
      </c>
      <c r="G23" s="75"/>
    </row>
    <row r="24" spans="1:7" x14ac:dyDescent="0.25">
      <c r="A24" s="28" t="s">
        <v>16</v>
      </c>
      <c r="B24" s="28"/>
      <c r="C24" s="28"/>
      <c r="E24" s="29">
        <f>SUM(E17/D4)</f>
        <v>8151.896717791411</v>
      </c>
    </row>
    <row r="25" spans="1:7" x14ac:dyDescent="0.25">
      <c r="A25" s="28" t="s">
        <v>38</v>
      </c>
      <c r="B25" s="28"/>
      <c r="C25" s="28"/>
      <c r="E25" s="29">
        <f>SUM(D5-E24)</f>
        <v>-1551.896717791411</v>
      </c>
      <c r="G25" s="5" t="s">
        <v>66</v>
      </c>
    </row>
    <row r="26" spans="1:7" x14ac:dyDescent="0.25">
      <c r="A26" s="28" t="s">
        <v>39</v>
      </c>
      <c r="B26" s="28"/>
      <c r="C26" s="28"/>
      <c r="E26" s="31">
        <f>MAX(0,E24-E23)</f>
        <v>16.945674846625479</v>
      </c>
      <c r="G26" s="5" t="s">
        <v>53</v>
      </c>
    </row>
    <row r="27" spans="1:7" ht="6" customHeight="1" x14ac:dyDescent="0.25">
      <c r="A27" s="28"/>
      <c r="B27" s="28"/>
      <c r="C27" s="28"/>
      <c r="E27" s="4"/>
    </row>
    <row r="28" spans="1:7" x14ac:dyDescent="0.25">
      <c r="A28" s="65" t="s">
        <v>50</v>
      </c>
      <c r="B28" s="65"/>
      <c r="C28" s="24"/>
      <c r="D28" s="24"/>
      <c r="E28" s="25"/>
    </row>
    <row r="29" spans="1:7" x14ac:dyDescent="0.25">
      <c r="A29" s="28" t="s">
        <v>46</v>
      </c>
      <c r="B29" s="28"/>
      <c r="C29" s="28"/>
      <c r="E29" s="30">
        <f>E22/E24</f>
        <v>0.654074886475007</v>
      </c>
    </row>
    <row r="30" spans="1:7" x14ac:dyDescent="0.25">
      <c r="A30" s="28" t="s">
        <v>45</v>
      </c>
      <c r="B30" s="23"/>
      <c r="C30" s="23"/>
      <c r="E30" s="32">
        <f>SUM(C8/C14)</f>
        <v>0.89125802116503472</v>
      </c>
      <c r="G30" s="5" t="s">
        <v>52</v>
      </c>
    </row>
    <row r="31" spans="1:7" x14ac:dyDescent="0.25">
      <c r="A31" s="40" t="s">
        <v>40</v>
      </c>
      <c r="B31" s="40"/>
      <c r="C31" s="28"/>
      <c r="D31" s="15"/>
      <c r="E31" s="41">
        <f>MAX(D4,(E17/E23))</f>
        <v>326.67908091527988</v>
      </c>
    </row>
    <row r="32" spans="1:7" x14ac:dyDescent="0.25">
      <c r="A32" s="40" t="s">
        <v>41</v>
      </c>
      <c r="B32" s="40"/>
      <c r="C32" s="28"/>
      <c r="D32" s="15"/>
      <c r="E32" s="41">
        <f>MAX(0,E31-D4)</f>
        <v>0.6790809152798829</v>
      </c>
      <c r="G32" s="5" t="s">
        <v>54</v>
      </c>
    </row>
    <row r="33" spans="1:7" ht="5.25" customHeight="1" x14ac:dyDescent="0.25">
      <c r="A33" s="33"/>
      <c r="B33" s="33"/>
      <c r="C33" s="33"/>
      <c r="D33" s="33"/>
      <c r="E33" s="34"/>
    </row>
    <row r="34" spans="1:7" ht="45.75" customHeight="1" x14ac:dyDescent="0.25">
      <c r="A34" s="68" t="s">
        <v>26</v>
      </c>
      <c r="B34" s="48"/>
      <c r="C34" s="55" t="s">
        <v>1</v>
      </c>
      <c r="D34" s="55" t="s">
        <v>22</v>
      </c>
      <c r="E34" s="56" t="s">
        <v>23</v>
      </c>
      <c r="G34" s="76" t="s">
        <v>57</v>
      </c>
    </row>
    <row r="35" spans="1:7" x14ac:dyDescent="0.25">
      <c r="A35" s="52"/>
      <c r="B35" s="53"/>
      <c r="C35" s="36">
        <f>D4</f>
        <v>326</v>
      </c>
      <c r="D35" s="36">
        <f>((E31-D4)/2)+D4</f>
        <v>326.33954045763994</v>
      </c>
      <c r="E35" s="37">
        <f>E31</f>
        <v>326.67908091527988</v>
      </c>
      <c r="G35" s="77"/>
    </row>
    <row r="36" spans="1:7" x14ac:dyDescent="0.25">
      <c r="A36" s="38" t="s">
        <v>19</v>
      </c>
      <c r="B36" s="50">
        <f>E23</f>
        <v>8134.9510429447855</v>
      </c>
      <c r="C36" s="49">
        <f>((E23*D4)-E17)</f>
        <v>-5524.2900000000373</v>
      </c>
      <c r="D36" s="49">
        <f>(E23*D35)-E17</f>
        <v>-2762.1450000000186</v>
      </c>
      <c r="E36" s="49">
        <f>(E23*E35)-E17</f>
        <v>0</v>
      </c>
      <c r="G36" s="77"/>
    </row>
    <row r="37" spans="1:7" x14ac:dyDescent="0.25">
      <c r="A37" s="38" t="s">
        <v>20</v>
      </c>
      <c r="B37" s="50">
        <f>E26/2</f>
        <v>8.4728374233127397</v>
      </c>
      <c r="C37" s="49">
        <f>(((E23)+(E26/2))*D4)-E17</f>
        <v>-2762.1450000000186</v>
      </c>
      <c r="D37" s="49">
        <f>((E23+(E26/2))*D35)-E17</f>
        <v>2.876871095970273</v>
      </c>
      <c r="E37" s="49">
        <f>((E23+(E26/2))*E35)-E17</f>
        <v>2767.8987421924248</v>
      </c>
      <c r="G37" s="77"/>
    </row>
    <row r="38" spans="1:7" x14ac:dyDescent="0.25">
      <c r="A38" s="39" t="s">
        <v>21</v>
      </c>
      <c r="B38" s="51">
        <f>E26</f>
        <v>16.945674846625479</v>
      </c>
      <c r="C38" s="49">
        <f>(((E23)+(E26))*D4)-E17</f>
        <v>0</v>
      </c>
      <c r="D38" s="49">
        <f>((E23+E26)*D35)-E17</f>
        <v>2767.8987421924248</v>
      </c>
      <c r="E38" s="49">
        <f>((E23+(E24-E23))*E35)-E17</f>
        <v>5535.7974843848497</v>
      </c>
      <c r="G38" s="78"/>
    </row>
    <row r="39" spans="1:7" ht="6" customHeight="1" x14ac:dyDescent="0.25">
      <c r="A39" s="5"/>
      <c r="B39" s="5"/>
      <c r="C39" s="5"/>
      <c r="D39" s="5"/>
      <c r="E39" s="5"/>
    </row>
    <row r="40" spans="1:7" ht="24" customHeight="1" x14ac:dyDescent="0.25">
      <c r="A40" s="67" t="s">
        <v>27</v>
      </c>
      <c r="B40" s="82"/>
      <c r="C40" s="82"/>
      <c r="D40" s="82"/>
      <c r="E40" s="83"/>
    </row>
    <row r="41" spans="1:7" ht="24" customHeight="1" x14ac:dyDescent="0.2">
      <c r="A41" s="84" t="s">
        <v>69</v>
      </c>
      <c r="B41" s="85"/>
      <c r="C41" s="85"/>
      <c r="D41" s="86"/>
      <c r="E41" s="47">
        <v>0.05</v>
      </c>
      <c r="G41" s="5" t="s">
        <v>55</v>
      </c>
    </row>
    <row r="42" spans="1:7" ht="24" customHeight="1" x14ac:dyDescent="0.2">
      <c r="A42" s="84" t="s">
        <v>70</v>
      </c>
      <c r="B42" s="85"/>
      <c r="C42" s="85"/>
      <c r="D42" s="86"/>
      <c r="E42" s="47">
        <v>0.03</v>
      </c>
      <c r="G42" s="5" t="s">
        <v>55</v>
      </c>
    </row>
    <row r="43" spans="1:7" ht="5.25" customHeight="1" x14ac:dyDescent="0.2">
      <c r="A43" s="72"/>
      <c r="B43" s="73"/>
      <c r="C43" s="73"/>
      <c r="D43" s="73"/>
      <c r="E43" s="66"/>
    </row>
    <row r="44" spans="1:7" x14ac:dyDescent="0.2">
      <c r="A44" s="54"/>
      <c r="B44" s="61" t="s">
        <v>71</v>
      </c>
      <c r="C44" s="61" t="s">
        <v>72</v>
      </c>
      <c r="D44" s="61" t="s">
        <v>73</v>
      </c>
      <c r="E44" s="62" t="s">
        <v>74</v>
      </c>
      <c r="G44" s="76" t="s">
        <v>56</v>
      </c>
    </row>
    <row r="45" spans="1:7" ht="15.95" customHeight="1" x14ac:dyDescent="0.25">
      <c r="A45" s="59" t="s">
        <v>9</v>
      </c>
      <c r="B45" s="57">
        <f>SUM(C8*E41)+C8</f>
        <v>1825126.8</v>
      </c>
      <c r="C45" s="57">
        <f>SUM(B45*E41)+B45</f>
        <v>1916383.1400000001</v>
      </c>
      <c r="D45" s="57">
        <f>SUM(C45*E41)+C45</f>
        <v>2012202.2970000003</v>
      </c>
      <c r="E45" s="57">
        <f>SUM(D45*E41)+D45</f>
        <v>2112812.4118500003</v>
      </c>
      <c r="G45" s="77"/>
    </row>
    <row r="46" spans="1:7" ht="15.95" customHeight="1" x14ac:dyDescent="0.25">
      <c r="A46" s="59" t="s">
        <v>24</v>
      </c>
      <c r="B46" s="57">
        <f>SUM(C14*E42)+C14</f>
        <v>2008803.7779000001</v>
      </c>
      <c r="C46" s="57">
        <f>SUM(B46*E42)+B46</f>
        <v>2069067.891237</v>
      </c>
      <c r="D46" s="57">
        <f>SUM(C46*E42)+C46</f>
        <v>2131139.92797411</v>
      </c>
      <c r="E46" s="57">
        <f>SUM(D46*E42)+D46</f>
        <v>2195074.1258133333</v>
      </c>
      <c r="G46" s="77"/>
    </row>
    <row r="47" spans="1:7" x14ac:dyDescent="0.25">
      <c r="A47" s="60" t="s">
        <v>48</v>
      </c>
      <c r="B47" s="58">
        <f>B45/B46</f>
        <v>0.90856400215853061</v>
      </c>
      <c r="C47" s="58">
        <f>C45/C46</f>
        <v>0.92620602161791954</v>
      </c>
      <c r="D47" s="58">
        <f>D45/D46</f>
        <v>0.94419060456195691</v>
      </c>
      <c r="E47" s="71">
        <f>E45/E46</f>
        <v>0.96252440270879103</v>
      </c>
      <c r="G47" s="78"/>
    </row>
  </sheetData>
  <mergeCells count="9">
    <mergeCell ref="G44:G47"/>
    <mergeCell ref="C1:E1"/>
    <mergeCell ref="B40:E40"/>
    <mergeCell ref="A41:D41"/>
    <mergeCell ref="A42:D42"/>
    <mergeCell ref="G9:G10"/>
    <mergeCell ref="G1:G3"/>
    <mergeCell ref="G34:G38"/>
    <mergeCell ref="G15:G16"/>
  </mergeCells>
  <conditionalFormatting sqref="B47:E47">
    <cfRule type="cellIs" dxfId="21" priority="10" operator="greaterThan">
      <formula>1</formula>
    </cfRule>
    <cfRule type="cellIs" dxfId="20" priority="11" operator="lessThan">
      <formula>0.9999999999</formula>
    </cfRule>
  </conditionalFormatting>
  <conditionalFormatting sqref="E26">
    <cfRule type="cellIs" dxfId="19" priority="7" operator="lessThan">
      <formula>0</formula>
    </cfRule>
    <cfRule type="cellIs" dxfId="18" priority="8" operator="equal">
      <formula>0</formula>
    </cfRule>
    <cfRule type="cellIs" dxfId="17" priority="9" operator="greaterThan">
      <formula>-1</formula>
    </cfRule>
  </conditionalFormatting>
  <conditionalFormatting sqref="E32">
    <cfRule type="cellIs" dxfId="16" priority="4" operator="greaterThan">
      <formula>1</formula>
    </cfRule>
    <cfRule type="cellIs" dxfId="15" priority="5" operator="equal">
      <formula>1</formula>
    </cfRule>
    <cfRule type="cellIs" dxfId="14" priority="6" operator="equal">
      <formula>0</formula>
    </cfRule>
  </conditionalFormatting>
  <conditionalFormatting sqref="E19">
    <cfRule type="cellIs" dxfId="13" priority="1" operator="lessThan">
      <formula>0</formula>
    </cfRule>
    <cfRule type="cellIs" dxfId="12" priority="2" operator="greaterThan">
      <formula>-1</formula>
    </cfRule>
    <cfRule type="cellIs" dxfId="11" priority="3" operator="equal">
      <formula>0</formula>
    </cfRule>
  </conditionalFormatting>
  <dataValidations count="3">
    <dataValidation type="decimal" allowBlank="1" showInputMessage="1" showErrorMessage="1" error="Please enter an amount between (10,000,000) and 10,000,000." sqref="C14:C15 E22 D4:D5">
      <formula1>-10000000</formula1>
      <formula2>10000000</formula2>
    </dataValidation>
    <dataValidation allowBlank="1" showInputMessage="1" showErrorMessage="1" error="Please enter an amount between -10,000,000 and 10,000,000." sqref="E31:E32 C8:C9 E19 E17 E11"/>
    <dataValidation type="decimal" allowBlank="1" showInputMessage="1" showErrorMessage="1" error="Please enter an amount between -10,000,000 and 10,000,000." sqref="E21 E28 E48:E65422 D45:E46">
      <formula1>-10000000</formula1>
      <formula2>10000000</formula2>
    </dataValidation>
  </dataValidations>
  <printOptions horizontalCentered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7"/>
  <sheetViews>
    <sheetView zoomScale="118" zoomScaleNormal="118" workbookViewId="0">
      <selection activeCell="H2" sqref="H2"/>
    </sheetView>
  </sheetViews>
  <sheetFormatPr defaultColWidth="9.140625" defaultRowHeight="15" x14ac:dyDescent="0.25"/>
  <cols>
    <col min="1" max="1" width="31" style="4" customWidth="1"/>
    <col min="2" max="2" width="13.5703125" style="4" bestFit="1" customWidth="1"/>
    <col min="3" max="3" width="13.5703125" style="4" customWidth="1"/>
    <col min="4" max="4" width="15.28515625" style="4" customWidth="1"/>
    <col min="5" max="5" width="16.5703125" style="13" customWidth="1"/>
    <col min="6" max="6" width="9.140625" style="5"/>
    <col min="7" max="7" width="14.7109375" style="5" bestFit="1" customWidth="1"/>
    <col min="8" max="16384" width="9.140625" style="5"/>
  </cols>
  <sheetData>
    <row r="1" spans="1:8" ht="18.75" x14ac:dyDescent="0.25">
      <c r="A1" s="1" t="s">
        <v>37</v>
      </c>
      <c r="C1" s="79" t="s">
        <v>44</v>
      </c>
      <c r="D1" s="80"/>
      <c r="E1" s="81"/>
      <c r="H1" s="6">
        <f>IF(E32&lt;=0,"",E32)</f>
        <v>0.6790809152798829</v>
      </c>
    </row>
    <row r="2" spans="1:8" ht="6" customHeight="1" x14ac:dyDescent="0.25">
      <c r="A2" s="7" t="s">
        <v>0</v>
      </c>
      <c r="B2" s="7"/>
      <c r="C2" s="8"/>
      <c r="D2" s="8"/>
      <c r="E2" s="8"/>
      <c r="H2" s="9"/>
    </row>
    <row r="3" spans="1:8" x14ac:dyDescent="0.25">
      <c r="A3" s="63" t="s">
        <v>17</v>
      </c>
      <c r="B3" s="63"/>
      <c r="C3" s="63"/>
      <c r="D3" s="64" t="s">
        <v>18</v>
      </c>
      <c r="E3" s="10"/>
    </row>
    <row r="4" spans="1:8" x14ac:dyDescent="0.25">
      <c r="A4" s="11" t="s">
        <v>35</v>
      </c>
      <c r="B4" s="12"/>
      <c r="D4" s="42">
        <v>326</v>
      </c>
      <c r="E4" s="14"/>
    </row>
    <row r="5" spans="1:8" x14ac:dyDescent="0.25">
      <c r="A5" s="11" t="s">
        <v>36</v>
      </c>
      <c r="B5" s="12"/>
      <c r="D5" s="43">
        <v>6600</v>
      </c>
      <c r="E5" s="14"/>
    </row>
    <row r="6" spans="1:8" ht="6" customHeight="1" x14ac:dyDescent="0.25">
      <c r="A6" s="11"/>
      <c r="B6" s="12"/>
      <c r="C6" s="11"/>
      <c r="D6" s="11"/>
      <c r="E6" s="12"/>
    </row>
    <row r="7" spans="1:8" x14ac:dyDescent="0.25">
      <c r="A7" s="63" t="s">
        <v>34</v>
      </c>
      <c r="B7" s="63"/>
      <c r="C7" s="64" t="s">
        <v>18</v>
      </c>
      <c r="D7" s="2" t="s">
        <v>28</v>
      </c>
      <c r="E7" s="3" t="s">
        <v>29</v>
      </c>
    </row>
    <row r="8" spans="1:8" x14ac:dyDescent="0.25">
      <c r="A8" s="12" t="s">
        <v>47</v>
      </c>
      <c r="B8" s="15"/>
      <c r="C8" s="44">
        <v>1738216</v>
      </c>
      <c r="D8" s="16">
        <f>C8/E11</f>
        <v>0.65543737043994266</v>
      </c>
      <c r="E8" s="17" t="s">
        <v>13</v>
      </c>
    </row>
    <row r="9" spans="1:8" x14ac:dyDescent="0.25">
      <c r="A9" s="12" t="s">
        <v>5</v>
      </c>
      <c r="B9" s="15"/>
      <c r="C9" s="44">
        <v>913778.04000000027</v>
      </c>
      <c r="D9" s="16">
        <f>C9/E11</f>
        <v>0.34456262956005745</v>
      </c>
      <c r="E9" s="17" t="s">
        <v>14</v>
      </c>
    </row>
    <row r="10" spans="1:8" x14ac:dyDescent="0.25">
      <c r="A10" s="12"/>
      <c r="B10" s="15"/>
      <c r="C10" s="18"/>
      <c r="D10" s="16"/>
      <c r="E10" s="17"/>
    </row>
    <row r="11" spans="1:8" x14ac:dyDescent="0.25">
      <c r="A11" s="12" t="s">
        <v>2</v>
      </c>
      <c r="B11" s="15"/>
      <c r="E11" s="19">
        <f>SUM(C8+C9)</f>
        <v>2651994.04</v>
      </c>
    </row>
    <row r="12" spans="1:8" ht="6" customHeight="1" x14ac:dyDescent="0.25">
      <c r="A12" s="12"/>
      <c r="B12" s="15"/>
      <c r="D12" s="12"/>
      <c r="E12" s="15"/>
    </row>
    <row r="13" spans="1:8" x14ac:dyDescent="0.25">
      <c r="A13" s="65" t="s">
        <v>3</v>
      </c>
      <c r="B13" s="65"/>
      <c r="C13" s="64" t="s">
        <v>18</v>
      </c>
      <c r="D13" s="2" t="s">
        <v>31</v>
      </c>
      <c r="E13" s="3" t="s">
        <v>30</v>
      </c>
    </row>
    <row r="14" spans="1:8" x14ac:dyDescent="0.25">
      <c r="A14" s="12" t="s">
        <v>6</v>
      </c>
      <c r="B14" s="20"/>
      <c r="C14" s="45">
        <v>1950294.9300000002</v>
      </c>
      <c r="D14" s="16">
        <f>C14/E17</f>
        <v>0.7338782607757216</v>
      </c>
      <c r="E14" s="17" t="s">
        <v>13</v>
      </c>
    </row>
    <row r="15" spans="1:8" x14ac:dyDescent="0.25">
      <c r="A15" s="12" t="s">
        <v>7</v>
      </c>
      <c r="B15" s="20"/>
      <c r="C15" s="46">
        <v>707223.39999999991</v>
      </c>
      <c r="D15" s="16">
        <f>C15/E17</f>
        <v>0.2661217392242784</v>
      </c>
      <c r="E15" s="17" t="s">
        <v>15</v>
      </c>
    </row>
    <row r="16" spans="1:8" x14ac:dyDescent="0.25">
      <c r="A16" s="12"/>
      <c r="B16" s="20"/>
      <c r="C16" s="18"/>
      <c r="D16" s="16"/>
      <c r="E16" s="17"/>
    </row>
    <row r="17" spans="1:5" x14ac:dyDescent="0.25">
      <c r="A17" s="11" t="s">
        <v>8</v>
      </c>
      <c r="E17" s="21">
        <f>SUM(C14:C15)</f>
        <v>2657518.33</v>
      </c>
    </row>
    <row r="18" spans="1:5" x14ac:dyDescent="0.25">
      <c r="A18" s="22"/>
      <c r="B18" s="7"/>
      <c r="C18" s="15"/>
      <c r="E18" s="23"/>
    </row>
    <row r="19" spans="1:5" x14ac:dyDescent="0.25">
      <c r="A19" s="11" t="s">
        <v>4</v>
      </c>
      <c r="C19" s="15"/>
      <c r="E19" s="21">
        <f xml:space="preserve"> E11-E17</f>
        <v>-5524.2900000000373</v>
      </c>
    </row>
    <row r="20" spans="1:5" ht="6" customHeight="1" x14ac:dyDescent="0.25">
      <c r="A20" s="11"/>
      <c r="D20" s="15"/>
      <c r="E20" s="4"/>
    </row>
    <row r="21" spans="1:5" x14ac:dyDescent="0.25">
      <c r="A21" s="65" t="s">
        <v>49</v>
      </c>
      <c r="B21" s="65"/>
      <c r="C21" s="24"/>
      <c r="D21" s="24"/>
      <c r="E21" s="25"/>
    </row>
    <row r="22" spans="1:5" x14ac:dyDescent="0.25">
      <c r="A22" s="11" t="s">
        <v>42</v>
      </c>
      <c r="B22" s="12"/>
      <c r="C22" s="26"/>
      <c r="E22" s="27">
        <f>C8/D4</f>
        <v>5331.9509202453992</v>
      </c>
    </row>
    <row r="23" spans="1:5" x14ac:dyDescent="0.25">
      <c r="A23" s="28" t="s">
        <v>43</v>
      </c>
      <c r="B23" s="12"/>
      <c r="C23" s="23"/>
      <c r="E23" s="27">
        <f>E11/D4</f>
        <v>8134.9510429447855</v>
      </c>
    </row>
    <row r="24" spans="1:5" x14ac:dyDescent="0.25">
      <c r="A24" s="28" t="s">
        <v>16</v>
      </c>
      <c r="B24" s="28"/>
      <c r="C24" s="28"/>
      <c r="E24" s="29">
        <f>SUM(E17/D4)</f>
        <v>8151.896717791411</v>
      </c>
    </row>
    <row r="25" spans="1:5" x14ac:dyDescent="0.25">
      <c r="A25" s="28" t="s">
        <v>38</v>
      </c>
      <c r="B25" s="28"/>
      <c r="C25" s="28"/>
      <c r="E25" s="29">
        <f>SUM(D5-E24)</f>
        <v>-1551.896717791411</v>
      </c>
    </row>
    <row r="26" spans="1:5" x14ac:dyDescent="0.25">
      <c r="A26" s="28" t="s">
        <v>39</v>
      </c>
      <c r="B26" s="28"/>
      <c r="C26" s="28"/>
      <c r="E26" s="31">
        <f>MAX(0,E24-E23)</f>
        <v>16.945674846625479</v>
      </c>
    </row>
    <row r="27" spans="1:5" ht="6" customHeight="1" x14ac:dyDescent="0.25">
      <c r="A27" s="28"/>
      <c r="B27" s="28"/>
      <c r="C27" s="28"/>
      <c r="E27" s="4"/>
    </row>
    <row r="28" spans="1:5" x14ac:dyDescent="0.25">
      <c r="A28" s="65" t="s">
        <v>50</v>
      </c>
      <c r="B28" s="65"/>
      <c r="C28" s="24"/>
      <c r="D28" s="24"/>
      <c r="E28" s="25"/>
    </row>
    <row r="29" spans="1:5" x14ac:dyDescent="0.25">
      <c r="A29" s="28" t="s">
        <v>46</v>
      </c>
      <c r="B29" s="28"/>
      <c r="C29" s="28"/>
      <c r="E29" s="30">
        <f>E22/E24</f>
        <v>0.654074886475007</v>
      </c>
    </row>
    <row r="30" spans="1:5" x14ac:dyDescent="0.25">
      <c r="A30" s="28" t="s">
        <v>45</v>
      </c>
      <c r="B30" s="23"/>
      <c r="C30" s="23"/>
      <c r="E30" s="32">
        <f>SUM(C8/C14)</f>
        <v>0.89125802116503472</v>
      </c>
    </row>
    <row r="31" spans="1:5" x14ac:dyDescent="0.25">
      <c r="A31" s="40" t="s">
        <v>40</v>
      </c>
      <c r="B31" s="40"/>
      <c r="C31" s="28"/>
      <c r="D31" s="15"/>
      <c r="E31" s="41">
        <f>MAX(D4,(E17/E23))</f>
        <v>326.67908091527988</v>
      </c>
    </row>
    <row r="32" spans="1:5" x14ac:dyDescent="0.25">
      <c r="A32" s="40" t="s">
        <v>41</v>
      </c>
      <c r="B32" s="40"/>
      <c r="C32" s="28"/>
      <c r="D32" s="15"/>
      <c r="E32" s="41">
        <f>MAX(0,E31-D4)</f>
        <v>0.6790809152798829</v>
      </c>
    </row>
    <row r="33" spans="1:7" ht="5.25" customHeight="1" x14ac:dyDescent="0.25">
      <c r="A33" s="33"/>
      <c r="B33" s="33"/>
      <c r="C33" s="33"/>
      <c r="D33" s="33"/>
      <c r="E33" s="34"/>
    </row>
    <row r="34" spans="1:7" ht="45.75" customHeight="1" x14ac:dyDescent="0.25">
      <c r="A34" s="68" t="s">
        <v>26</v>
      </c>
      <c r="B34" s="48"/>
      <c r="C34" s="55" t="s">
        <v>1</v>
      </c>
      <c r="D34" s="55" t="s">
        <v>22</v>
      </c>
      <c r="E34" s="56" t="s">
        <v>23</v>
      </c>
    </row>
    <row r="35" spans="1:7" x14ac:dyDescent="0.25">
      <c r="A35" s="52"/>
      <c r="B35" s="53"/>
      <c r="C35" s="36">
        <f>D4</f>
        <v>326</v>
      </c>
      <c r="D35" s="36">
        <f>((E31-D4)/2)+D4</f>
        <v>326.33954045763994</v>
      </c>
      <c r="E35" s="37">
        <f>E31</f>
        <v>326.67908091527988</v>
      </c>
    </row>
    <row r="36" spans="1:7" x14ac:dyDescent="0.25">
      <c r="A36" s="38" t="s">
        <v>19</v>
      </c>
      <c r="B36" s="50">
        <f>E23</f>
        <v>8134.9510429447855</v>
      </c>
      <c r="C36" s="49">
        <f>((E23*D4)-E17)</f>
        <v>-5524.2900000000373</v>
      </c>
      <c r="D36" s="49">
        <f>(E23*D35)-E17</f>
        <v>-2762.1450000000186</v>
      </c>
      <c r="E36" s="49">
        <f>(E23*E35)-E17</f>
        <v>0</v>
      </c>
    </row>
    <row r="37" spans="1:7" x14ac:dyDescent="0.25">
      <c r="A37" s="38" t="s">
        <v>20</v>
      </c>
      <c r="B37" s="50">
        <f>E26/2</f>
        <v>8.4728374233127397</v>
      </c>
      <c r="C37" s="49">
        <f>(((E23)+(E26/2))*D4)-E17</f>
        <v>-2762.1450000000186</v>
      </c>
      <c r="D37" s="49">
        <f>((E23+(E26/2))*D35)-E17</f>
        <v>2.876871095970273</v>
      </c>
      <c r="E37" s="49">
        <f>((E23+(E26/2))*E35)-E17</f>
        <v>2767.8987421924248</v>
      </c>
    </row>
    <row r="38" spans="1:7" x14ac:dyDescent="0.25">
      <c r="A38" s="39" t="s">
        <v>21</v>
      </c>
      <c r="B38" s="51">
        <f>E26</f>
        <v>16.945674846625479</v>
      </c>
      <c r="C38" s="49">
        <f>(((E23)+(E26))*D4)-E17</f>
        <v>0</v>
      </c>
      <c r="D38" s="49">
        <f>((E23+E26)*D35)-E17</f>
        <v>2767.8987421924248</v>
      </c>
      <c r="E38" s="49">
        <f>((E23+(E24-E23))*E35)-E17</f>
        <v>5535.7974843848497</v>
      </c>
    </row>
    <row r="39" spans="1:7" ht="6" customHeight="1" x14ac:dyDescent="0.25">
      <c r="A39" s="5"/>
      <c r="B39" s="5"/>
      <c r="C39" s="5"/>
      <c r="D39" s="5"/>
      <c r="E39" s="5"/>
    </row>
    <row r="40" spans="1:7" ht="24" customHeight="1" x14ac:dyDescent="0.25">
      <c r="A40" s="67" t="s">
        <v>27</v>
      </c>
      <c r="B40" s="82"/>
      <c r="C40" s="82"/>
      <c r="D40" s="82"/>
      <c r="E40" s="83"/>
    </row>
    <row r="41" spans="1:7" ht="24" customHeight="1" x14ac:dyDescent="0.2">
      <c r="A41" s="84" t="s">
        <v>32</v>
      </c>
      <c r="B41" s="85"/>
      <c r="C41" s="85"/>
      <c r="D41" s="86"/>
      <c r="E41" s="47">
        <v>0.05</v>
      </c>
    </row>
    <row r="42" spans="1:7" ht="24" customHeight="1" x14ac:dyDescent="0.2">
      <c r="A42" s="84" t="s">
        <v>33</v>
      </c>
      <c r="B42" s="85"/>
      <c r="C42" s="85"/>
      <c r="D42" s="86"/>
      <c r="E42" s="47">
        <v>0.03</v>
      </c>
    </row>
    <row r="43" spans="1:7" ht="5.25" customHeight="1" x14ac:dyDescent="0.2">
      <c r="A43" s="69"/>
      <c r="B43" s="70"/>
      <c r="C43" s="70"/>
      <c r="D43" s="70"/>
      <c r="E43" s="66"/>
    </row>
    <row r="44" spans="1:7" x14ac:dyDescent="0.2">
      <c r="A44" s="54"/>
      <c r="B44" s="61" t="s">
        <v>10</v>
      </c>
      <c r="C44" s="61" t="s">
        <v>11</v>
      </c>
      <c r="D44" s="61" t="s">
        <v>12</v>
      </c>
      <c r="E44" s="62" t="s">
        <v>25</v>
      </c>
    </row>
    <row r="45" spans="1:7" ht="15.95" customHeight="1" x14ac:dyDescent="0.25">
      <c r="A45" s="59" t="s">
        <v>9</v>
      </c>
      <c r="B45" s="57">
        <f>SUM(C8*E41)+C8</f>
        <v>1825126.8</v>
      </c>
      <c r="C45" s="57">
        <f>SUM(B45*E41)+B45</f>
        <v>1916383.1400000001</v>
      </c>
      <c r="D45" s="57">
        <f>SUM(C45*E41)+C45</f>
        <v>2012202.2970000003</v>
      </c>
      <c r="E45" s="57">
        <f>SUM(D45*E41)+D45</f>
        <v>2112812.4118500003</v>
      </c>
      <c r="G45" s="35"/>
    </row>
    <row r="46" spans="1:7" ht="15.95" customHeight="1" x14ac:dyDescent="0.25">
      <c r="A46" s="59" t="s">
        <v>24</v>
      </c>
      <c r="B46" s="57">
        <f>SUM(C14*E42)+C14</f>
        <v>2008803.7779000001</v>
      </c>
      <c r="C46" s="57">
        <f>SUM(B46*E42)+B46</f>
        <v>2069067.891237</v>
      </c>
      <c r="D46" s="57">
        <f>SUM(C46*E41)+C46</f>
        <v>2172521.28579885</v>
      </c>
      <c r="E46" s="57">
        <f>SUM(D46*E42)+D46</f>
        <v>2237696.9243728155</v>
      </c>
    </row>
    <row r="47" spans="1:7" x14ac:dyDescent="0.25">
      <c r="A47" s="60" t="s">
        <v>48</v>
      </c>
      <c r="B47" s="58">
        <f>B45/B46</f>
        <v>0.90856400215853061</v>
      </c>
      <c r="C47" s="58">
        <f>C45/C46</f>
        <v>0.92620602161791954</v>
      </c>
      <c r="D47" s="58">
        <f>D45/D46</f>
        <v>0.92620602161791965</v>
      </c>
      <c r="E47" s="71">
        <f>E45/E46</f>
        <v>0.94419060456195691</v>
      </c>
    </row>
  </sheetData>
  <mergeCells count="4">
    <mergeCell ref="C1:E1"/>
    <mergeCell ref="B40:E40"/>
    <mergeCell ref="A41:D41"/>
    <mergeCell ref="A42:D42"/>
  </mergeCells>
  <conditionalFormatting sqref="B47:E47">
    <cfRule type="cellIs" dxfId="10" priority="10" operator="greaterThan">
      <formula>1</formula>
    </cfRule>
    <cfRule type="cellIs" dxfId="9" priority="11" operator="lessThan">
      <formula>0.9999999999</formula>
    </cfRule>
  </conditionalFormatting>
  <conditionalFormatting sqref="E26">
    <cfRule type="cellIs" dxfId="8" priority="7" operator="lessThan">
      <formula>0</formula>
    </cfRule>
    <cfRule type="cellIs" dxfId="7" priority="8" operator="equal">
      <formula>0</formula>
    </cfRule>
    <cfRule type="cellIs" dxfId="6" priority="9" operator="greaterThan">
      <formula>-1</formula>
    </cfRule>
  </conditionalFormatting>
  <conditionalFormatting sqref="E32">
    <cfRule type="cellIs" dxfId="5" priority="4" operator="greaterThan">
      <formula>1</formula>
    </cfRule>
    <cfRule type="cellIs" dxfId="4" priority="5" operator="equal">
      <formula>1</formula>
    </cfRule>
    <cfRule type="cellIs" dxfId="3" priority="6" operator="equal">
      <formula>0</formula>
    </cfRule>
  </conditionalFormatting>
  <conditionalFormatting sqref="E19">
    <cfRule type="cellIs" dxfId="2" priority="1" operator="lessThan">
      <formula>0</formula>
    </cfRule>
    <cfRule type="cellIs" dxfId="1" priority="2" operator="greaterThan">
      <formula>-1</formula>
    </cfRule>
    <cfRule type="cellIs" dxfId="0" priority="3" operator="equal">
      <formula>0</formula>
    </cfRule>
  </conditionalFormatting>
  <dataValidations count="3">
    <dataValidation type="decimal" allowBlank="1" showInputMessage="1" showErrorMessage="1" error="Please enter an amount between -10,000,000 and 10,000,000." sqref="E21 E28 E48:E65422 D45:E46">
      <formula1>-10000000</formula1>
      <formula2>10000000</formula2>
    </dataValidation>
    <dataValidation allowBlank="1" showInputMessage="1" showErrorMessage="1" error="Please enter an amount between -10,000,000 and 10,000,000." sqref="E31:E32 C8:C9 E19 E17 E11"/>
    <dataValidation type="decimal" allowBlank="1" showInputMessage="1" showErrorMessage="1" error="Please enter an amount between (10,000,000) and 10,000,000." sqref="C14:C15 E22 D4:D5">
      <formula1>-10000000</formula1>
      <formula2>10000000</formula2>
    </dataValidation>
  </dataValidations>
  <printOptions horizontalCentered="1"/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 with notes</vt:lpstr>
      <vt:lpstr>Template</vt:lpstr>
      <vt:lpstr>Sheet5</vt:lpstr>
    </vt:vector>
  </TitlesOfParts>
  <Company>Archdiocese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Hunt</dc:creator>
  <cp:lastModifiedBy>Hunt Tim</cp:lastModifiedBy>
  <cp:lastPrinted>2018-01-11T22:57:28Z</cp:lastPrinted>
  <dcterms:created xsi:type="dcterms:W3CDTF">2016-11-02T22:40:55Z</dcterms:created>
  <dcterms:modified xsi:type="dcterms:W3CDTF">2018-07-27T22:04:49Z</dcterms:modified>
</cp:coreProperties>
</file>